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'Sheet1'!$A$1:$H$25</definedName>
  </definedNames>
  <calcPr fullCalcOnLoad="1"/>
</workbook>
</file>

<file path=xl/sharedStrings.xml><?xml version="1.0" encoding="utf-8"?>
<sst xmlns="http://schemas.openxmlformats.org/spreadsheetml/2006/main" count="113" uniqueCount="74">
  <si>
    <t>Iron Stars Ship Builder v2.0</t>
  </si>
  <si>
    <t>Class</t>
  </si>
  <si>
    <t>Type</t>
  </si>
  <si>
    <t>Nationality</t>
  </si>
  <si>
    <t>Hull Points</t>
  </si>
  <si>
    <t>Size Class</t>
  </si>
  <si>
    <t>n/a</t>
  </si>
  <si>
    <t>Hull Size</t>
  </si>
  <si>
    <t>BAV</t>
  </si>
  <si>
    <t>BTR</t>
  </si>
  <si>
    <t>+/-</t>
  </si>
  <si>
    <t>Armour</t>
  </si>
  <si>
    <t>Thrust</t>
  </si>
  <si>
    <t>SUs Used</t>
  </si>
  <si>
    <t>Remaining</t>
  </si>
  <si>
    <t>Primary</t>
  </si>
  <si>
    <t>Primary Guns</t>
  </si>
  <si>
    <t>Secondary Guns</t>
  </si>
  <si>
    <t>Light Guns</t>
  </si>
  <si>
    <t>Torpedoes</t>
  </si>
  <si>
    <t>Die Type</t>
  </si>
  <si>
    <t>Damage</t>
  </si>
  <si>
    <t>Qty.</t>
  </si>
  <si>
    <t>d4</t>
  </si>
  <si>
    <t>d6</t>
  </si>
  <si>
    <t>d8</t>
  </si>
  <si>
    <t>d10</t>
  </si>
  <si>
    <t>d12</t>
  </si>
  <si>
    <t>x1</t>
  </si>
  <si>
    <t>x2</t>
  </si>
  <si>
    <t>x3</t>
  </si>
  <si>
    <t>x4</t>
  </si>
  <si>
    <t>x5</t>
  </si>
  <si>
    <t>OffRat</t>
  </si>
  <si>
    <t>Special Equipment</t>
  </si>
  <si>
    <t>OffRat+</t>
  </si>
  <si>
    <t>DefRat x</t>
  </si>
  <si>
    <t>DefRat +</t>
  </si>
  <si>
    <t>HVP</t>
  </si>
  <si>
    <t>Babbage Engine</t>
  </si>
  <si>
    <t>Gyroscopic Stabilizer</t>
  </si>
  <si>
    <t>Keel Bombard</t>
  </si>
  <si>
    <t>Mine Factor</t>
  </si>
  <si>
    <t>Congreve Rockets (5)</t>
  </si>
  <si>
    <t>SUs</t>
  </si>
  <si>
    <t>OffRat +</t>
  </si>
  <si>
    <t>Fire Arrows (5)</t>
  </si>
  <si>
    <t>Gun Type</t>
  </si>
  <si>
    <t>Lightning Projectors</t>
  </si>
  <si>
    <t>OffRat x</t>
  </si>
  <si>
    <t>Column</t>
  </si>
  <si>
    <t>Torpedo Type</t>
  </si>
  <si>
    <t>Hull</t>
  </si>
  <si>
    <t>Secondary</t>
  </si>
  <si>
    <t>Points</t>
  </si>
  <si>
    <t>VS</t>
  </si>
  <si>
    <t>S</t>
  </si>
  <si>
    <t>M</t>
  </si>
  <si>
    <t>L</t>
  </si>
  <si>
    <t>VL</t>
  </si>
  <si>
    <t>H</t>
  </si>
  <si>
    <t>Sp.Eq.</t>
  </si>
  <si>
    <t>Space Remaining</t>
  </si>
  <si>
    <t>Poison Gas</t>
  </si>
  <si>
    <t>Fast Attack Craft</t>
  </si>
  <si>
    <t>Hale Rockets (5)</t>
  </si>
  <si>
    <t>Machine Gun</t>
  </si>
  <si>
    <t>©2004-2006 Majestic Twelve Games. All rights reserved</t>
  </si>
  <si>
    <t>Black Smoke</t>
  </si>
  <si>
    <t>Boarding Parties (5)</t>
  </si>
  <si>
    <t>Heat Rays</t>
  </si>
  <si>
    <t>Forward-Only Turrets</t>
  </si>
  <si>
    <t>Bomb Rack</t>
  </si>
  <si>
    <t>Wasserstahl Hull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</si>
</sst>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;[Red]\(0\)"/>
    <numFmt numFmtId="166" formatCode="0.0_);[Red]\(0.0\)"/>
    <numFmt numFmtId="167" formatCode="0.00_);[Red]\(0.00\)"/>
    <numFmt numFmtId="168" formatCode="0;[Red]0"/>
  </numFmts>
  <fonts count="8">
    <font>
      <sz val="10"/>
      <name val="Arial"/>
      <family val="0"/>
    </font>
    <font>
      <sz val="9"/>
      <name val="Book Antiqua"/>
      <family val="1"/>
    </font>
    <font>
      <b/>
      <sz val="9"/>
      <name val="Book Antiqua"/>
      <family val="1"/>
    </font>
    <font>
      <sz val="8"/>
      <name val="Arial"/>
      <family val="0"/>
    </font>
    <font>
      <b/>
      <sz val="12"/>
      <color indexed="9"/>
      <name val="Book Antiqua"/>
      <family val="1"/>
    </font>
    <font>
      <i/>
      <sz val="9"/>
      <name val="Book Antiqua"/>
      <family val="1"/>
    </font>
    <font>
      <sz val="9"/>
      <color indexed="9"/>
      <name val="Book Antiqua"/>
      <family val="1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 quotePrefix="1">
      <alignment horizontal="center"/>
      <protection locked="0"/>
    </xf>
    <xf numFmtId="0" fontId="1" fillId="4" borderId="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4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 quotePrefix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1" fillId="4" borderId="9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/>
      <protection/>
    </xf>
    <xf numFmtId="168" fontId="1" fillId="5" borderId="1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/>
    </xf>
    <xf numFmtId="0" fontId="2" fillId="4" borderId="0" xfId="0" applyFont="1" applyFill="1" applyBorder="1" applyAlignment="1" quotePrefix="1">
      <alignment horizontal="center"/>
    </xf>
    <xf numFmtId="0" fontId="1" fillId="4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1" fillId="3" borderId="10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2" fillId="4" borderId="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/>
      <protection/>
    </xf>
    <xf numFmtId="0" fontId="2" fillId="4" borderId="9" xfId="0" applyFont="1" applyFill="1" applyBorder="1" applyAlignment="1" applyProtection="1">
      <alignment horizontal="right"/>
      <protection/>
    </xf>
    <xf numFmtId="0" fontId="2" fillId="4" borderId="11" xfId="0" applyFont="1" applyFill="1" applyBorder="1" applyAlignment="1" applyProtection="1">
      <alignment horizontal="right"/>
      <protection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5" fillId="2" borderId="4" xfId="0" applyFont="1" applyFill="1" applyBorder="1" applyAlignment="1" applyProtection="1">
      <alignment horizontal="center"/>
      <protection/>
    </xf>
    <xf numFmtId="0" fontId="2" fillId="4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390525</xdr:colOff>
      <xdr:row>1</xdr:row>
      <xdr:rowOff>133350</xdr:rowOff>
    </xdr:from>
    <xdr:to>
      <xdr:col>7</xdr:col>
      <xdr:colOff>333375</xdr:colOff>
      <xdr:row>9</xdr:row>
      <xdr:rowOff>66675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342900"/>
          <a:ext cx="13716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workbookViewId="0" topLeftCell="A1">
      <selection activeCell="B3" sqref="B3:E3"/>
    </sheetView>
  </sheetViews>
  <sheetFormatPr defaultColWidth="9.140625" defaultRowHeight="12.75"/>
  <cols>
    <col min="1" max="8" width="10.7109375" style="15" customWidth="1"/>
    <col min="9" max="9" width="8.140625" style="15" bestFit="1" customWidth="1"/>
    <col min="10" max="10" width="9.57421875" style="15" bestFit="1" customWidth="1"/>
    <col min="11" max="11" width="8.140625" style="15" bestFit="1" customWidth="1"/>
    <col min="12" max="12" width="8.7109375" style="15" bestFit="1" customWidth="1"/>
    <col min="13" max="13" width="4.57421875" style="15" bestFit="1" customWidth="1"/>
    <col min="14" max="14" width="4.140625" style="15" bestFit="1" customWidth="1"/>
    <col min="15" max="15" width="17.00390625" style="15" bestFit="1" customWidth="1"/>
    <col min="16" max="16" width="3.8515625" style="15" bestFit="1" customWidth="1"/>
    <col min="17" max="19" width="2.8515625" style="15" bestFit="1" customWidth="1"/>
    <col min="20" max="21" width="3.7109375" style="15" bestFit="1" customWidth="1"/>
    <col min="22" max="22" width="7.28125" style="15" bestFit="1" customWidth="1"/>
    <col min="23" max="23" width="11.8515625" style="15" bestFit="1" customWidth="1"/>
    <col min="24" max="24" width="3.8515625" style="15" bestFit="1" customWidth="1"/>
    <col min="25" max="27" width="2.8515625" style="15" bestFit="1" customWidth="1"/>
    <col min="28" max="29" width="3.7109375" style="15" bestFit="1" customWidth="1"/>
    <col min="30" max="30" width="7.28125" style="15" bestFit="1" customWidth="1"/>
    <col min="31" max="31" width="18.421875" style="15" bestFit="1" customWidth="1"/>
    <col min="32" max="32" width="4.00390625" style="15" bestFit="1" customWidth="1"/>
    <col min="33" max="33" width="7.421875" style="15" bestFit="1" customWidth="1"/>
    <col min="34" max="34" width="7.57421875" style="15" bestFit="1" customWidth="1"/>
    <col min="35" max="35" width="7.7109375" style="15" bestFit="1" customWidth="1"/>
    <col min="36" max="16384" width="10.7109375" style="15" customWidth="1"/>
  </cols>
  <sheetData>
    <row r="1" spans="1:35" ht="16.5">
      <c r="A1" s="45" t="s">
        <v>0</v>
      </c>
      <c r="B1" s="46"/>
      <c r="C1" s="46"/>
      <c r="D1" s="46"/>
      <c r="E1" s="46"/>
      <c r="F1" s="46"/>
      <c r="G1" s="46"/>
      <c r="H1" s="47"/>
      <c r="K1" s="15" t="s">
        <v>7</v>
      </c>
      <c r="L1" s="15" t="s">
        <v>5</v>
      </c>
      <c r="M1" s="15" t="s">
        <v>8</v>
      </c>
      <c r="N1" s="15" t="s">
        <v>9</v>
      </c>
      <c r="O1" s="16" t="s">
        <v>47</v>
      </c>
      <c r="P1" s="15" t="s">
        <v>44</v>
      </c>
      <c r="Q1" s="15" t="s">
        <v>23</v>
      </c>
      <c r="R1" s="15" t="s">
        <v>24</v>
      </c>
      <c r="S1" s="15" t="s">
        <v>25</v>
      </c>
      <c r="T1" s="15" t="s">
        <v>26</v>
      </c>
      <c r="U1" s="15" t="s">
        <v>27</v>
      </c>
      <c r="V1" s="15" t="s">
        <v>49</v>
      </c>
      <c r="W1" s="16" t="s">
        <v>51</v>
      </c>
      <c r="X1" s="15" t="s">
        <v>44</v>
      </c>
      <c r="Y1" s="15" t="s">
        <v>23</v>
      </c>
      <c r="Z1" s="15" t="s">
        <v>24</v>
      </c>
      <c r="AA1" s="15" t="s">
        <v>25</v>
      </c>
      <c r="AB1" s="15" t="s">
        <v>26</v>
      </c>
      <c r="AC1" s="15" t="s">
        <v>27</v>
      </c>
      <c r="AD1" s="15" t="s">
        <v>49</v>
      </c>
      <c r="AE1" s="16" t="s">
        <v>34</v>
      </c>
      <c r="AF1" s="15" t="s">
        <v>44</v>
      </c>
      <c r="AG1" s="15" t="s">
        <v>45</v>
      </c>
      <c r="AH1" s="15" t="s">
        <v>36</v>
      </c>
      <c r="AI1" s="15" t="s">
        <v>37</v>
      </c>
    </row>
    <row r="2" spans="1:35" ht="14.25">
      <c r="A2" s="40" t="s">
        <v>67</v>
      </c>
      <c r="B2" s="41"/>
      <c r="C2" s="41"/>
      <c r="D2" s="41"/>
      <c r="E2" s="41"/>
      <c r="F2" s="41"/>
      <c r="G2" s="41"/>
      <c r="H2" s="42"/>
      <c r="K2" s="15">
        <v>0</v>
      </c>
      <c r="L2" s="15" t="s">
        <v>6</v>
      </c>
      <c r="M2" s="15">
        <v>0</v>
      </c>
      <c r="N2" s="15">
        <v>0</v>
      </c>
      <c r="O2" s="17">
        <v>0</v>
      </c>
      <c r="P2" s="18">
        <v>1</v>
      </c>
      <c r="Q2" s="15">
        <v>4</v>
      </c>
      <c r="R2" s="15">
        <v>6</v>
      </c>
      <c r="S2" s="15">
        <v>8</v>
      </c>
      <c r="T2" s="15">
        <v>10</v>
      </c>
      <c r="U2" s="15">
        <v>12</v>
      </c>
      <c r="V2" s="18">
        <v>1</v>
      </c>
      <c r="W2" s="17">
        <v>0</v>
      </c>
      <c r="X2" s="18">
        <v>1</v>
      </c>
      <c r="Y2" s="15">
        <v>2</v>
      </c>
      <c r="Z2" s="15">
        <v>3</v>
      </c>
      <c r="AA2" s="15">
        <v>4</v>
      </c>
      <c r="AB2" s="15">
        <v>5</v>
      </c>
      <c r="AC2" s="15">
        <v>6</v>
      </c>
      <c r="AD2" s="28">
        <v>0.25</v>
      </c>
      <c r="AE2" s="17">
        <v>0</v>
      </c>
      <c r="AF2" s="18">
        <v>0</v>
      </c>
      <c r="AG2" s="18">
        <v>0</v>
      </c>
      <c r="AH2" s="18">
        <v>1</v>
      </c>
      <c r="AI2" s="18">
        <v>0</v>
      </c>
    </row>
    <row r="3" spans="1:35" ht="14.25">
      <c r="A3" s="7" t="s">
        <v>1</v>
      </c>
      <c r="B3" s="30"/>
      <c r="C3" s="30"/>
      <c r="D3" s="30"/>
      <c r="E3" s="30"/>
      <c r="F3" s="43"/>
      <c r="G3" s="43"/>
      <c r="H3" s="44"/>
      <c r="K3" s="15">
        <v>1</v>
      </c>
      <c r="L3" s="15" t="s">
        <v>55</v>
      </c>
      <c r="M3" s="15">
        <v>0</v>
      </c>
      <c r="N3" s="15">
        <v>8</v>
      </c>
      <c r="O3" s="17" t="s">
        <v>68</v>
      </c>
      <c r="P3" s="18">
        <v>1</v>
      </c>
      <c r="Q3" s="15">
        <v>2</v>
      </c>
      <c r="R3" s="15">
        <v>3</v>
      </c>
      <c r="S3" s="15">
        <v>4</v>
      </c>
      <c r="T3" s="15">
        <v>6</v>
      </c>
      <c r="U3" s="15">
        <v>8</v>
      </c>
      <c r="V3" s="18">
        <v>2</v>
      </c>
      <c r="AE3" s="17" t="s">
        <v>39</v>
      </c>
      <c r="AF3" s="18">
        <v>15</v>
      </c>
      <c r="AG3" s="18">
        <f>(K$18+K$19)*0.5</f>
        <v>0</v>
      </c>
      <c r="AH3" s="18">
        <v>1</v>
      </c>
      <c r="AI3" s="18">
        <v>0</v>
      </c>
    </row>
    <row r="4" spans="1:35" ht="14.25">
      <c r="A4" s="7" t="s">
        <v>2</v>
      </c>
      <c r="B4" s="30"/>
      <c r="C4" s="30"/>
      <c r="D4" s="30"/>
      <c r="E4" s="30"/>
      <c r="F4" s="43"/>
      <c r="G4" s="43"/>
      <c r="H4" s="44"/>
      <c r="K4" s="15">
        <v>2</v>
      </c>
      <c r="L4" s="15" t="s">
        <v>56</v>
      </c>
      <c r="M4" s="15">
        <v>1</v>
      </c>
      <c r="N4" s="15">
        <v>7</v>
      </c>
      <c r="O4" s="17" t="s">
        <v>70</v>
      </c>
      <c r="P4" s="18">
        <v>1.2</v>
      </c>
      <c r="Q4" s="15">
        <v>6</v>
      </c>
      <c r="R4" s="15">
        <v>8</v>
      </c>
      <c r="S4" s="15">
        <v>11</v>
      </c>
      <c r="T4" s="15">
        <v>13</v>
      </c>
      <c r="U4" s="15">
        <v>16</v>
      </c>
      <c r="V4" s="18">
        <v>1</v>
      </c>
      <c r="AE4" s="17" t="s">
        <v>69</v>
      </c>
      <c r="AF4" s="18">
        <v>10</v>
      </c>
      <c r="AG4" s="18">
        <f>(E$9+2)*1.5</f>
        <v>3</v>
      </c>
      <c r="AH4" s="18">
        <v>1</v>
      </c>
      <c r="AI4" s="18">
        <v>0</v>
      </c>
    </row>
    <row r="5" spans="1:35" ht="14.25">
      <c r="A5" s="7" t="s">
        <v>3</v>
      </c>
      <c r="B5" s="30"/>
      <c r="C5" s="30"/>
      <c r="D5" s="30"/>
      <c r="E5" s="30"/>
      <c r="F5" s="43"/>
      <c r="G5" s="43"/>
      <c r="H5" s="44"/>
      <c r="K5" s="15">
        <v>3</v>
      </c>
      <c r="L5" s="15" t="s">
        <v>57</v>
      </c>
      <c r="M5" s="15">
        <v>2</v>
      </c>
      <c r="N5" s="15">
        <v>6</v>
      </c>
      <c r="O5" s="16" t="s">
        <v>48</v>
      </c>
      <c r="P5" s="18">
        <v>1.5</v>
      </c>
      <c r="Q5" s="15">
        <v>16</v>
      </c>
      <c r="R5" s="15">
        <v>17</v>
      </c>
      <c r="S5" s="15">
        <v>19</v>
      </c>
      <c r="T5" s="15">
        <v>22</v>
      </c>
      <c r="U5" s="15">
        <v>24</v>
      </c>
      <c r="V5" s="18">
        <v>1</v>
      </c>
      <c r="AE5" s="17" t="s">
        <v>72</v>
      </c>
      <c r="AF5" s="18">
        <v>5</v>
      </c>
      <c r="AG5" s="18">
        <v>0</v>
      </c>
      <c r="AH5" s="18">
        <v>1</v>
      </c>
      <c r="AI5" s="18">
        <v>0</v>
      </c>
    </row>
    <row r="6" spans="1:35" ht="13.5">
      <c r="A6" s="4"/>
      <c r="B6" s="5"/>
      <c r="C6" s="5"/>
      <c r="D6" s="5"/>
      <c r="E6" s="5"/>
      <c r="F6" s="43"/>
      <c r="G6" s="43"/>
      <c r="H6" s="44"/>
      <c r="K6" s="15">
        <v>4</v>
      </c>
      <c r="L6" s="15" t="s">
        <v>58</v>
      </c>
      <c r="M6" s="15">
        <v>3</v>
      </c>
      <c r="N6" s="15">
        <v>5</v>
      </c>
      <c r="O6" s="16" t="s">
        <v>63</v>
      </c>
      <c r="P6" s="18">
        <v>1</v>
      </c>
      <c r="Q6" s="15">
        <v>2</v>
      </c>
      <c r="R6" s="15">
        <v>3</v>
      </c>
      <c r="S6" s="15">
        <v>4</v>
      </c>
      <c r="T6" s="15">
        <v>6</v>
      </c>
      <c r="U6" s="15">
        <v>8</v>
      </c>
      <c r="V6" s="18">
        <v>2</v>
      </c>
      <c r="AE6" s="17" t="s">
        <v>43</v>
      </c>
      <c r="AF6" s="18">
        <v>5</v>
      </c>
      <c r="AG6" s="18">
        <f>(E$9+3)*2</f>
        <v>6</v>
      </c>
      <c r="AH6" s="18">
        <v>1</v>
      </c>
      <c r="AI6" s="18">
        <v>0</v>
      </c>
    </row>
    <row r="7" spans="1:35" ht="14.25">
      <c r="A7" s="7" t="s">
        <v>4</v>
      </c>
      <c r="B7" s="2"/>
      <c r="C7" s="26" t="s">
        <v>10</v>
      </c>
      <c r="D7" s="8" t="s">
        <v>5</v>
      </c>
      <c r="E7" s="1" t="str">
        <f>VLOOKUP(ROUNDDOWN(B7^0.5,0),K2:L8,2)</f>
        <v>n/a</v>
      </c>
      <c r="F7" s="43"/>
      <c r="G7" s="43"/>
      <c r="H7" s="44"/>
      <c r="I7" s="15" t="s">
        <v>13</v>
      </c>
      <c r="J7" s="15" t="s">
        <v>14</v>
      </c>
      <c r="K7" s="15">
        <v>5</v>
      </c>
      <c r="L7" s="15" t="s">
        <v>59</v>
      </c>
      <c r="M7" s="15">
        <v>4</v>
      </c>
      <c r="N7" s="15">
        <v>4</v>
      </c>
      <c r="AE7" s="17" t="s">
        <v>64</v>
      </c>
      <c r="AF7" s="18">
        <v>10</v>
      </c>
      <c r="AG7" s="18">
        <v>0</v>
      </c>
      <c r="AH7" s="18">
        <v>1</v>
      </c>
      <c r="AI7" s="18">
        <v>0</v>
      </c>
    </row>
    <row r="8" spans="1:35" ht="14.25">
      <c r="A8" s="7" t="s">
        <v>8</v>
      </c>
      <c r="B8" s="1">
        <f>VLOOKUP(ROUNDDOWN(B7^0.5,0),K2:M8,3)</f>
        <v>0</v>
      </c>
      <c r="C8" s="3"/>
      <c r="D8" s="8" t="s">
        <v>11</v>
      </c>
      <c r="E8" s="1">
        <f>B8+C8</f>
        <v>0</v>
      </c>
      <c r="F8" s="43"/>
      <c r="G8" s="43"/>
      <c r="H8" s="44"/>
      <c r="I8" s="18"/>
      <c r="J8" s="18">
        <f>B7*10</f>
        <v>0</v>
      </c>
      <c r="K8" s="15">
        <v>6</v>
      </c>
      <c r="L8" s="15" t="s">
        <v>60</v>
      </c>
      <c r="M8" s="15">
        <v>5</v>
      </c>
      <c r="N8" s="15">
        <v>3</v>
      </c>
      <c r="AE8" s="17" t="s">
        <v>46</v>
      </c>
      <c r="AF8" s="18">
        <v>5</v>
      </c>
      <c r="AG8" s="18">
        <f>(E$9+4)*2</f>
        <v>8</v>
      </c>
      <c r="AH8" s="18">
        <v>1</v>
      </c>
      <c r="AI8" s="18">
        <v>0</v>
      </c>
    </row>
    <row r="9" spans="1:35" ht="14.25">
      <c r="A9" s="7" t="s">
        <v>9</v>
      </c>
      <c r="B9" s="1">
        <f>VLOOKUP(ROUNDDOWN(B7^0.5,0),K2:N8,4)</f>
        <v>0</v>
      </c>
      <c r="C9" s="3"/>
      <c r="D9" s="8" t="s">
        <v>12</v>
      </c>
      <c r="E9" s="1">
        <f>B9+C9</f>
        <v>0</v>
      </c>
      <c r="F9" s="43"/>
      <c r="G9" s="43"/>
      <c r="H9" s="44"/>
      <c r="I9" s="18">
        <f>C8*J8*0.2</f>
        <v>0</v>
      </c>
      <c r="J9" s="18">
        <f>J8-I9</f>
        <v>0</v>
      </c>
      <c r="AE9" s="17" t="s">
        <v>71</v>
      </c>
      <c r="AF9" s="18">
        <v>0</v>
      </c>
      <c r="AG9" s="18">
        <f>K$18*0.1</f>
        <v>0</v>
      </c>
      <c r="AH9" s="18">
        <v>1</v>
      </c>
      <c r="AI9" s="18">
        <v>0</v>
      </c>
    </row>
    <row r="10" spans="1:35" ht="13.5">
      <c r="A10" s="4"/>
      <c r="B10" s="5"/>
      <c r="C10" s="5"/>
      <c r="D10" s="5"/>
      <c r="E10" s="5"/>
      <c r="F10" s="5"/>
      <c r="G10" s="5"/>
      <c r="H10" s="6"/>
      <c r="I10" s="18">
        <f>C9*J8*0.1</f>
        <v>0</v>
      </c>
      <c r="J10" s="18">
        <f>J9-I10</f>
        <v>0</v>
      </c>
      <c r="L10" s="19">
        <v>-2</v>
      </c>
      <c r="M10" s="15" t="s">
        <v>23</v>
      </c>
      <c r="AE10" s="17" t="s">
        <v>40</v>
      </c>
      <c r="AF10" s="18">
        <f>B$7*ROUNDDOWN(B$7^0.5,0)</f>
        <v>0</v>
      </c>
      <c r="AG10" s="18">
        <v>0</v>
      </c>
      <c r="AH10" s="18">
        <v>1.3</v>
      </c>
      <c r="AI10" s="18">
        <v>0</v>
      </c>
    </row>
    <row r="11" spans="1:35" ht="14.25">
      <c r="A11" s="32" t="s">
        <v>16</v>
      </c>
      <c r="B11" s="31"/>
      <c r="C11" s="31" t="s">
        <v>17</v>
      </c>
      <c r="D11" s="31"/>
      <c r="E11" s="31" t="s">
        <v>18</v>
      </c>
      <c r="F11" s="31"/>
      <c r="G11" s="31" t="s">
        <v>19</v>
      </c>
      <c r="H11" s="39"/>
      <c r="K11" s="15" t="s">
        <v>50</v>
      </c>
      <c r="L11" s="19">
        <v>-1</v>
      </c>
      <c r="M11" s="15" t="s">
        <v>24</v>
      </c>
      <c r="AE11" s="17" t="s">
        <v>65</v>
      </c>
      <c r="AF11" s="18">
        <v>5</v>
      </c>
      <c r="AG11" s="18">
        <f>(E$9*5)+2</f>
        <v>2</v>
      </c>
      <c r="AH11" s="18">
        <v>1</v>
      </c>
      <c r="AI11" s="18">
        <v>0</v>
      </c>
    </row>
    <row r="12" spans="1:35" ht="14.25">
      <c r="A12" s="7"/>
      <c r="B12" s="2"/>
      <c r="C12" s="8" t="s">
        <v>22</v>
      </c>
      <c r="D12" s="2"/>
      <c r="E12" s="8" t="s">
        <v>22</v>
      </c>
      <c r="F12" s="2"/>
      <c r="G12" s="8" t="s">
        <v>22</v>
      </c>
      <c r="H12" s="9"/>
      <c r="I12" s="18">
        <f>B12*VLOOKUP(B13,L15:M20,2)*VLOOKUP(B14,L21:M26,2)*VLOOKUP(A15,O:U,2)</f>
        <v>0</v>
      </c>
      <c r="J12" s="18">
        <f>J10-I12</f>
        <v>0</v>
      </c>
      <c r="K12" s="15">
        <f>VLOOKUP(B13,L15:N20,3)</f>
        <v>2</v>
      </c>
      <c r="L12" s="19">
        <v>0</v>
      </c>
      <c r="M12" s="15" t="s">
        <v>25</v>
      </c>
      <c r="AE12" s="17" t="s">
        <v>41</v>
      </c>
      <c r="AF12" s="18">
        <f>7*(1+ROUNDDOWN(B$7^0.5,0))</f>
        <v>7</v>
      </c>
      <c r="AG12" s="18">
        <f>(E$9+20)*ROUNDDOWN(B$7^0.5,0)/5</f>
        <v>0</v>
      </c>
      <c r="AH12" s="18">
        <v>1</v>
      </c>
      <c r="AI12" s="18">
        <v>0</v>
      </c>
    </row>
    <row r="13" spans="1:35" ht="14.25">
      <c r="A13" s="7" t="s">
        <v>20</v>
      </c>
      <c r="B13" s="2"/>
      <c r="C13" s="8" t="s">
        <v>20</v>
      </c>
      <c r="D13" s="2"/>
      <c r="E13" s="8" t="s">
        <v>20</v>
      </c>
      <c r="F13" s="1" t="s">
        <v>23</v>
      </c>
      <c r="G13" s="8" t="s">
        <v>20</v>
      </c>
      <c r="H13" s="9"/>
      <c r="I13" s="18">
        <f>D12*VLOOKUP(D13,L15:M20,2)*VLOOKUP(D14,L21:M26,2)*VLOOKUP(C15,O:V,2)/2</f>
        <v>0</v>
      </c>
      <c r="J13" s="18">
        <f>J12-I13</f>
        <v>0</v>
      </c>
      <c r="K13" s="15">
        <f>VLOOKUP(D13,L15:N20,3)</f>
        <v>2</v>
      </c>
      <c r="L13" s="19">
        <v>1</v>
      </c>
      <c r="M13" s="15" t="s">
        <v>26</v>
      </c>
      <c r="AE13" s="17" t="s">
        <v>66</v>
      </c>
      <c r="AF13" s="18">
        <v>1</v>
      </c>
      <c r="AG13" s="18">
        <f>E$9+2</f>
        <v>2</v>
      </c>
      <c r="AH13" s="18">
        <v>1</v>
      </c>
      <c r="AI13" s="18">
        <v>0</v>
      </c>
    </row>
    <row r="14" spans="1:35" ht="14.25">
      <c r="A14" s="7" t="s">
        <v>21</v>
      </c>
      <c r="B14" s="2"/>
      <c r="C14" s="8" t="s">
        <v>21</v>
      </c>
      <c r="D14" s="2"/>
      <c r="E14" s="8" t="s">
        <v>21</v>
      </c>
      <c r="F14" s="1" t="s">
        <v>28</v>
      </c>
      <c r="G14" s="8" t="s">
        <v>21</v>
      </c>
      <c r="H14" s="9"/>
      <c r="I14" s="18">
        <f>F12*2*VLOOKUP(E15,O:V,2)</f>
        <v>0</v>
      </c>
      <c r="J14" s="18">
        <f>J13-I14</f>
        <v>0</v>
      </c>
      <c r="K14" s="15">
        <v>3</v>
      </c>
      <c r="L14" s="19">
        <v>2</v>
      </c>
      <c r="M14" s="15" t="s">
        <v>27</v>
      </c>
      <c r="AE14" s="17" t="s">
        <v>42</v>
      </c>
      <c r="AF14" s="18">
        <v>2</v>
      </c>
      <c r="AG14" s="18">
        <v>5</v>
      </c>
      <c r="AH14" s="18">
        <v>1</v>
      </c>
      <c r="AI14" s="18">
        <v>0</v>
      </c>
    </row>
    <row r="15" spans="1:35" ht="14.25">
      <c r="A15" s="29"/>
      <c r="B15" s="30"/>
      <c r="C15" s="30"/>
      <c r="D15" s="30"/>
      <c r="E15" s="33"/>
      <c r="F15" s="33"/>
      <c r="G15" s="33"/>
      <c r="H15" s="38"/>
      <c r="I15" s="18">
        <f>H12*VLOOKUP(H13,L15:M20,2)*VLOOKUP(H14,L21:M26,2)*VLOOKUP(G15,W:AD,2)/5</f>
        <v>0</v>
      </c>
      <c r="J15" s="18">
        <f>J14-I15</f>
        <v>0</v>
      </c>
      <c r="K15" s="15">
        <f>VLOOKUP(H13,L15:N20,3)</f>
        <v>2</v>
      </c>
      <c r="L15" s="15">
        <v>0</v>
      </c>
      <c r="M15" s="15">
        <v>0</v>
      </c>
      <c r="N15" s="15">
        <v>2</v>
      </c>
      <c r="AE15" s="17" t="s">
        <v>73</v>
      </c>
      <c r="AF15" s="15">
        <f>B$7</f>
        <v>0</v>
      </c>
      <c r="AG15" s="18">
        <v>0</v>
      </c>
      <c r="AH15" s="18">
        <v>2</v>
      </c>
      <c r="AI15" s="18">
        <v>0</v>
      </c>
    </row>
    <row r="16" spans="1:14" ht="13.5">
      <c r="A16" s="4"/>
      <c r="B16" s="5"/>
      <c r="C16" s="5"/>
      <c r="D16" s="5"/>
      <c r="E16" s="5"/>
      <c r="F16" s="5"/>
      <c r="G16" s="5"/>
      <c r="H16" s="6"/>
      <c r="L16" s="15" t="s">
        <v>26</v>
      </c>
      <c r="M16" s="15">
        <v>10</v>
      </c>
      <c r="N16" s="15">
        <v>6</v>
      </c>
    </row>
    <row r="17" spans="1:14" ht="14.25">
      <c r="A17" s="36" t="s">
        <v>34</v>
      </c>
      <c r="B17" s="37"/>
      <c r="C17" s="37"/>
      <c r="D17" s="8" t="s">
        <v>22</v>
      </c>
      <c r="E17" s="25"/>
      <c r="F17" s="8" t="s">
        <v>54</v>
      </c>
      <c r="G17" s="8" t="s">
        <v>38</v>
      </c>
      <c r="H17" s="6"/>
      <c r="K17" s="15" t="s">
        <v>33</v>
      </c>
      <c r="L17" s="15" t="s">
        <v>27</v>
      </c>
      <c r="M17" s="15">
        <v>12</v>
      </c>
      <c r="N17" s="15">
        <v>7</v>
      </c>
    </row>
    <row r="18" spans="1:14" ht="13.5">
      <c r="A18" s="29"/>
      <c r="B18" s="30"/>
      <c r="C18" s="30"/>
      <c r="D18" s="2"/>
      <c r="E18" s="22"/>
      <c r="F18" s="1">
        <f>ROUND((B35*D35)^0.5,0)</f>
        <v>0</v>
      </c>
      <c r="G18" s="1" t="str">
        <f>IF(B7&lt;2,"n/a",ROUND(F18/(B7*2),0))</f>
        <v>n/a</v>
      </c>
      <c r="H18" s="6"/>
      <c r="I18" s="18">
        <f>VLOOKUP(A18,AE:AI,2)*A31</f>
        <v>0</v>
      </c>
      <c r="J18" s="18">
        <f>J15-I18</f>
        <v>0</v>
      </c>
      <c r="K18" s="15">
        <f>(E9+VLOOKUP(A15,O2:V3,K12))*B12*VLOOKUP(B14,L21:M26,2)*VLOOKUP(A15,O2:V3,8)</f>
        <v>0</v>
      </c>
      <c r="L18" s="15" t="s">
        <v>23</v>
      </c>
      <c r="M18" s="15">
        <v>4</v>
      </c>
      <c r="N18" s="15">
        <v>3</v>
      </c>
    </row>
    <row r="19" spans="1:14" ht="13.5">
      <c r="A19" s="29"/>
      <c r="B19" s="30"/>
      <c r="C19" s="30"/>
      <c r="D19" s="2"/>
      <c r="E19" s="22"/>
      <c r="F19" s="27"/>
      <c r="G19" s="27"/>
      <c r="H19" s="6"/>
      <c r="I19" s="18">
        <f>VLOOKUP(A19,AE:AI,2)*A32</f>
        <v>0</v>
      </c>
      <c r="J19" s="18">
        <f>J18-I19</f>
        <v>0</v>
      </c>
      <c r="K19" s="15">
        <f>(E9+VLOOKUP(C15,O2:V3,K13))*D12*VLOOKUP(D14,L21:M26,2)*VLOOKUP(C15,O2:V3,8)/2</f>
        <v>0</v>
      </c>
      <c r="L19" s="15" t="s">
        <v>24</v>
      </c>
      <c r="M19" s="15">
        <v>6</v>
      </c>
      <c r="N19" s="15">
        <v>4</v>
      </c>
    </row>
    <row r="20" spans="1:22" ht="14.25" customHeight="1">
      <c r="A20" s="29"/>
      <c r="B20" s="30"/>
      <c r="C20" s="30"/>
      <c r="D20" s="2"/>
      <c r="E20" s="34" t="s">
        <v>62</v>
      </c>
      <c r="F20" s="35"/>
      <c r="G20" s="24">
        <f>J22</f>
        <v>0</v>
      </c>
      <c r="H20" s="6"/>
      <c r="I20" s="18">
        <f>VLOOKUP(A20,AE:AI,2)*A33</f>
        <v>0</v>
      </c>
      <c r="J20" s="18">
        <f>J19-I20</f>
        <v>0</v>
      </c>
      <c r="K20" s="15">
        <f>(E9+VLOOKUP(E15,O2:V3,K14))*F12*VLOOKUP(F14,L21:M26,2)*VLOOKUP(E15,O2:V3,8)</f>
        <v>0</v>
      </c>
      <c r="L20" s="15" t="s">
        <v>25</v>
      </c>
      <c r="M20" s="15">
        <v>8</v>
      </c>
      <c r="N20" s="15">
        <v>5</v>
      </c>
      <c r="O20" s="17"/>
      <c r="P20" s="18"/>
      <c r="V20" s="28"/>
    </row>
    <row r="21" spans="1:13" ht="13.5">
      <c r="A21" s="29"/>
      <c r="B21" s="30"/>
      <c r="C21" s="30"/>
      <c r="D21" s="2"/>
      <c r="E21" s="22"/>
      <c r="F21" s="5"/>
      <c r="G21" s="5"/>
      <c r="H21" s="6"/>
      <c r="I21" s="18">
        <f>VLOOKUP(A21,AE:AI,2)*A34</f>
        <v>0</v>
      </c>
      <c r="J21" s="18">
        <f>J20-I21</f>
        <v>0</v>
      </c>
      <c r="K21" s="15">
        <f>(E9+VLOOKUP(G15,W:AD,K15))*H12*VLOOKUP(H14,L21:M26,2)*VLOOKUP(G15,W:AD,8)</f>
        <v>0</v>
      </c>
      <c r="L21" s="15">
        <v>0</v>
      </c>
      <c r="M21" s="15">
        <v>0</v>
      </c>
    </row>
    <row r="22" spans="1:13" ht="13.5">
      <c r="A22" s="29"/>
      <c r="B22" s="30"/>
      <c r="C22" s="30"/>
      <c r="D22" s="2"/>
      <c r="E22" s="22"/>
      <c r="F22" s="23"/>
      <c r="G22" s="14"/>
      <c r="H22" s="6"/>
      <c r="I22" s="18">
        <f>VLOOKUP(A22,AE:AI,2)*A35</f>
        <v>0</v>
      </c>
      <c r="J22" s="18">
        <f>J21-I22</f>
        <v>0</v>
      </c>
      <c r="L22" s="15" t="s">
        <v>28</v>
      </c>
      <c r="M22" s="15">
        <v>1</v>
      </c>
    </row>
    <row r="23" spans="1:13" ht="13.5">
      <c r="A23" s="4"/>
      <c r="B23" s="5"/>
      <c r="C23" s="5"/>
      <c r="D23" s="5"/>
      <c r="E23" s="5"/>
      <c r="F23" s="5"/>
      <c r="G23" s="5"/>
      <c r="H23" s="6"/>
      <c r="L23" s="15" t="s">
        <v>29</v>
      </c>
      <c r="M23" s="15">
        <v>2</v>
      </c>
    </row>
    <row r="24" spans="1:13" ht="14.25">
      <c r="A24" s="7" t="s">
        <v>52</v>
      </c>
      <c r="B24" s="8" t="s">
        <v>11</v>
      </c>
      <c r="C24" s="8" t="s">
        <v>12</v>
      </c>
      <c r="D24" s="8" t="s">
        <v>15</v>
      </c>
      <c r="E24" s="8" t="s">
        <v>53</v>
      </c>
      <c r="F24" s="8" t="s">
        <v>18</v>
      </c>
      <c r="G24" s="5"/>
      <c r="H24" s="6"/>
      <c r="L24" s="15" t="s">
        <v>30</v>
      </c>
      <c r="M24" s="15">
        <v>3</v>
      </c>
    </row>
    <row r="25" spans="1:13" ht="14.25" thickBot="1">
      <c r="A25" s="12" t="str">
        <f>IF(A26=0,"-",IF(A26=1,1,"1-"&amp;20-B27))</f>
        <v>1-20</v>
      </c>
      <c r="B25" s="13" t="str">
        <f>IF(B26=0,"-",IF(B26=1,21-B27,21-B27&amp;"-"&amp;20-C27))</f>
        <v>-</v>
      </c>
      <c r="C25" s="13" t="str">
        <f>IF(C26=0,"-",IF(C26=1,21-C27,21-C27&amp;"-"&amp;20-D27))</f>
        <v>-</v>
      </c>
      <c r="D25" s="13" t="str">
        <f>IF(D26=0,"-",IF(D26=1,21-D27,21-D27&amp;"-"&amp;20-E27))</f>
        <v>-</v>
      </c>
      <c r="E25" s="13" t="str">
        <f>IF(E26=0,"-",IF(E26=1,21-E27,21-E27&amp;"-"&amp;20-F27))</f>
        <v>-</v>
      </c>
      <c r="F25" s="13" t="str">
        <f>IF(F26=0,"-",IF(F26=1,20,21-F26&amp;"-20"))</f>
        <v>-</v>
      </c>
      <c r="G25" s="10"/>
      <c r="H25" s="11"/>
      <c r="L25" s="15" t="s">
        <v>31</v>
      </c>
      <c r="M25" s="15">
        <v>4</v>
      </c>
    </row>
    <row r="26" spans="1:13" ht="13.5">
      <c r="A26" s="15">
        <f>20-SUM(B26:F26)</f>
        <v>20</v>
      </c>
      <c r="B26" s="15">
        <f>ROUND(E8*20/G26,0)</f>
        <v>0</v>
      </c>
      <c r="C26" s="15">
        <f>ROUND(E9*20/G26,0)</f>
        <v>0</v>
      </c>
      <c r="D26" s="15">
        <f>ROUND(B12*20/G26,0)</f>
        <v>0</v>
      </c>
      <c r="E26" s="15">
        <f>ROUND(D12*20/G26,0)</f>
        <v>0</v>
      </c>
      <c r="F26" s="15">
        <f>ROUND(F12*20/G26,0)</f>
        <v>0</v>
      </c>
      <c r="G26" s="20">
        <f>IF(B7=0,1,2*B7+E8+E9+B12+D12+F12)</f>
        <v>1</v>
      </c>
      <c r="L26" s="15" t="s">
        <v>32</v>
      </c>
      <c r="M26" s="15">
        <v>5</v>
      </c>
    </row>
    <row r="27" spans="1:6" ht="13.5">
      <c r="A27" s="15">
        <f>B27+A26</f>
        <v>20</v>
      </c>
      <c r="B27" s="15">
        <f>C27+B26</f>
        <v>0</v>
      </c>
      <c r="C27" s="15">
        <f>D27+C26</f>
        <v>0</v>
      </c>
      <c r="D27" s="15">
        <f>E27+D26</f>
        <v>0</v>
      </c>
      <c r="E27" s="15">
        <f>F27+E26</f>
        <v>0</v>
      </c>
      <c r="F27" s="15">
        <f>F26</f>
        <v>0</v>
      </c>
    </row>
    <row r="28" spans="1:4" ht="13.5">
      <c r="A28" s="20"/>
      <c r="B28" s="20"/>
      <c r="C28" s="20"/>
      <c r="D28" s="20"/>
    </row>
    <row r="29" spans="1:4" ht="13.5">
      <c r="A29" s="20" t="s">
        <v>61</v>
      </c>
      <c r="B29" s="20" t="s">
        <v>35</v>
      </c>
      <c r="C29" s="20" t="s">
        <v>36</v>
      </c>
      <c r="D29" s="20" t="s">
        <v>37</v>
      </c>
    </row>
    <row r="30" spans="1:4" ht="13.5">
      <c r="A30" s="20" t="s">
        <v>22</v>
      </c>
      <c r="B30" s="21">
        <f>SUM(K18:K21)</f>
        <v>0</v>
      </c>
      <c r="C30" s="21">
        <f>IF(A26=0,0,B7*2*2^(E8)/A26)</f>
        <v>0</v>
      </c>
      <c r="D30" s="21">
        <f>C35</f>
        <v>0</v>
      </c>
    </row>
    <row r="31" spans="1:4" ht="13.5">
      <c r="A31" s="20">
        <f>IF(D18="",1,D18)</f>
        <v>1</v>
      </c>
      <c r="B31" s="21">
        <f>B30+(VLOOKUP(A18,AE:AI,3)*A31)</f>
        <v>0</v>
      </c>
      <c r="C31" s="21">
        <f>C30*(VLOOKUP(A18,AE:AI,4)^A31)</f>
        <v>0</v>
      </c>
      <c r="D31" s="21">
        <f>D30+(VLOOKUP(A18,AE:AI,5)*A31)</f>
        <v>0</v>
      </c>
    </row>
    <row r="32" spans="1:4" ht="13.5">
      <c r="A32" s="20">
        <f>IF(D19="",1,D19)</f>
        <v>1</v>
      </c>
      <c r="B32" s="21">
        <f>B31+(VLOOKUP(A19,AE:AI,3)*A32)</f>
        <v>0</v>
      </c>
      <c r="C32" s="21">
        <f>C31*(VLOOKUP(A19,AE:AI,4)^A32)</f>
        <v>0</v>
      </c>
      <c r="D32" s="21">
        <f>D31+(VLOOKUP(A19,AE:AI,5)*A32)</f>
        <v>0</v>
      </c>
    </row>
    <row r="33" spans="1:4" ht="13.5">
      <c r="A33" s="20">
        <f>IF(D20="",1,D20)</f>
        <v>1</v>
      </c>
      <c r="B33" s="21">
        <f>B32+(VLOOKUP(A20,AE:AI,3)*A33)</f>
        <v>0</v>
      </c>
      <c r="C33" s="21">
        <f>C32*(VLOOKUP(A20,AE:AI,4)^A33)</f>
        <v>0</v>
      </c>
      <c r="D33" s="21">
        <f>D32+(VLOOKUP(A20,AE:AI,5)*A33)</f>
        <v>0</v>
      </c>
    </row>
    <row r="34" spans="1:4" ht="13.5">
      <c r="A34" s="20">
        <f>IF(D21="",1,D21)</f>
        <v>1</v>
      </c>
      <c r="B34" s="21">
        <f>B33+(VLOOKUP(A21,AE:AI,3)*A34)</f>
        <v>0</v>
      </c>
      <c r="C34" s="21">
        <f>C33*(VLOOKUP(A21,AE:AI,4)^A34)</f>
        <v>0</v>
      </c>
      <c r="D34" s="21">
        <f>D33+(VLOOKUP(A21,AE:AI,5)*A34)</f>
        <v>0</v>
      </c>
    </row>
    <row r="35" spans="1:4" ht="13.5">
      <c r="A35" s="20">
        <f>IF(D22="",1,D22)</f>
        <v>1</v>
      </c>
      <c r="B35" s="21">
        <f>B34+(VLOOKUP(A22,AE:AI,3)*A35)</f>
        <v>0</v>
      </c>
      <c r="C35" s="21">
        <f>C34*(VLOOKUP(A22,AE:AI,4)^A35)</f>
        <v>0</v>
      </c>
      <c r="D35" s="21">
        <f>D34+(VLOOKUP(A22,AE:AI,5)*A35)</f>
        <v>0</v>
      </c>
    </row>
    <row r="36" spans="1:4" ht="13.5">
      <c r="A36" s="20"/>
      <c r="B36" s="21"/>
      <c r="C36" s="21"/>
      <c r="D36" s="21"/>
    </row>
    <row r="37" ht="13.5">
      <c r="A37" s="20"/>
    </row>
    <row r="38" ht="13.5">
      <c r="A38" s="20"/>
    </row>
    <row r="39" ht="13.5">
      <c r="A39" s="20"/>
    </row>
    <row r="40" ht="13.5">
      <c r="A40" s="20"/>
    </row>
  </sheetData>
  <sheetProtection sheet="1" objects="1" scenarios="1" selectLockedCells="1"/>
  <mergeCells count="21">
    <mergeCell ref="A1:H1"/>
    <mergeCell ref="A17:C17"/>
    <mergeCell ref="G15:H15"/>
    <mergeCell ref="G11:H11"/>
    <mergeCell ref="A2:H2"/>
    <mergeCell ref="F3:H9"/>
    <mergeCell ref="A15:B15"/>
    <mergeCell ref="B5:E5"/>
    <mergeCell ref="B4:E4"/>
    <mergeCell ref="B3:E3"/>
    <mergeCell ref="C15:D15"/>
    <mergeCell ref="A22:C22"/>
    <mergeCell ref="C11:D11"/>
    <mergeCell ref="A11:B11"/>
    <mergeCell ref="E15:F15"/>
    <mergeCell ref="E11:F11"/>
    <mergeCell ref="A21:C21"/>
    <mergeCell ref="A20:C20"/>
    <mergeCell ref="A19:C19"/>
    <mergeCell ref="A18:C18"/>
    <mergeCell ref="E20:F20"/>
  </mergeCells>
  <dataValidations count="10">
    <dataValidation type="whole" operator="greaterThanOrEqual" allowBlank="1" showInputMessage="1" showErrorMessage="1" sqref="D18:D22 D12 F12 H12 B12">
      <formula1>1</formula1>
    </dataValidation>
    <dataValidation type="list" allowBlank="1" showInputMessage="1" showErrorMessage="1" sqref="B13 D13 H13">
      <formula1>$M$10:$M$14</formula1>
    </dataValidation>
    <dataValidation type="list" allowBlank="1" showInputMessage="1" showErrorMessage="1" sqref="H14">
      <formula1>$L$22:$L$26</formula1>
    </dataValidation>
    <dataValidation type="list" allowBlank="1" showInputMessage="1" showErrorMessage="1" sqref="B14">
      <formula1>$L$22:$L$24</formula1>
    </dataValidation>
    <dataValidation type="list" allowBlank="1" showInputMessage="1" showErrorMessage="1" sqref="D14">
      <formula1>$L$22:$L$23</formula1>
    </dataValidation>
    <dataValidation type="list" allowBlank="1" showInputMessage="1" showErrorMessage="1" sqref="C8">
      <formula1>"-1,0,+1"</formula1>
    </dataValidation>
    <dataValidation type="list" allowBlank="1" showInputMessage="1" showErrorMessage="1" sqref="C9">
      <formula1>"-2,-1,0,+1,+2"</formula1>
    </dataValidation>
    <dataValidation type="list" allowBlank="1" showInputMessage="1" showErrorMessage="1" sqref="A18:C22">
      <formula1>$AE$3:$AE$15</formula1>
    </dataValidation>
    <dataValidation type="list" allowBlank="1" showInputMessage="1" showErrorMessage="1" sqref="A15:B15 C15:D15">
      <formula1>$O$3:$O$6</formula1>
    </dataValidation>
    <dataValidation type="whole" allowBlank="1" showInputMessage="1" showErrorMessage="1" sqref="B7">
      <formula1>1</formula1>
      <formula2>35</formula2>
    </dataValidation>
  </dataValidation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dkast</dc:creator>
  <cp:keywords/>
  <dc:description/>
  <cp:lastModifiedBy>Daniel Kast</cp:lastModifiedBy>
  <cp:lastPrinted>2005-03-25T22:01:20Z</cp:lastPrinted>
  <dcterms:created xsi:type="dcterms:W3CDTF">2005-03-25T19:20:12Z</dcterms:created>
  <dcterms:modified xsi:type="dcterms:W3CDTF">2006-03-02T04:51:56Z</dcterms:modified>
  <cp:category/>
  <cp:version/>
  <cp:contentType/>
  <cp:contentStatus/>
</cp:coreProperties>
</file>